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Sync Files\SyncFiles\Main\Other Physics\My Calculators\"/>
    </mc:Choice>
  </mc:AlternateContent>
  <bookViews>
    <workbookView xWindow="120" yWindow="75" windowWidth="11880" windowHeight="8175" tabRatio="559"/>
  </bookViews>
  <sheets>
    <sheet name="main" sheetId="1" r:id="rId1"/>
    <sheet name="given_t_and_x" sheetId="4" r:id="rId2"/>
  </sheets>
  <definedNames>
    <definedName name="angle">main!$B$5</definedName>
    <definedName name="g">main!$B$11</definedName>
    <definedName name="LandingY">main!$B$13</definedName>
    <definedName name="LaunchX">main!$B$9</definedName>
    <definedName name="LaunchY">main!$B$7</definedName>
    <definedName name="MaxY">main!$E$5</definedName>
    <definedName name="NumSigFig">main!$N$1</definedName>
    <definedName name="_xlnm.Print_Area" localSheetId="0">main!$A$1:$E$38</definedName>
    <definedName name="ProjYatWall">main!$H$7</definedName>
    <definedName name="TimeToWall">main!$H$6</definedName>
    <definedName name="Ttotal">main!$E$10</definedName>
    <definedName name="vinitial">main!$B$3</definedName>
    <definedName name="VinitX">main!$E$4</definedName>
    <definedName name="VinitY">main!$E$3</definedName>
    <definedName name="VvertAtWall">main!$H$8</definedName>
    <definedName name="WallX">main!$H$3</definedName>
    <definedName name="WallY">main!$H$4</definedName>
    <definedName name="XaxisMin">main!$H$12</definedName>
    <definedName name="YaxisMin">main!$H$13</definedName>
  </definedNames>
  <calcPr calcId="152511"/>
</workbook>
</file>

<file path=xl/calcChain.xml><?xml version="1.0" encoding="utf-8"?>
<calcChain xmlns="http://schemas.openxmlformats.org/spreadsheetml/2006/main">
  <c r="E4" i="1" l="1"/>
  <c r="H6" i="1" s="1"/>
  <c r="E3" i="1"/>
  <c r="R23" i="1"/>
  <c r="Q23" i="1"/>
  <c r="E5" i="1" l="1"/>
  <c r="H8" i="1"/>
  <c r="H9" i="1" s="1"/>
  <c r="E10" i="1" l="1"/>
  <c r="E12" i="1" s="1"/>
  <c r="E13" i="1" s="1"/>
  <c r="E7" i="1"/>
  <c r="E11" i="1" l="1"/>
  <c r="B8" i="4" l="1"/>
  <c r="B7" i="4"/>
  <c r="B9" i="4" s="1"/>
  <c r="Y3" i="1"/>
  <c r="Y2" i="1"/>
  <c r="X3" i="1"/>
  <c r="X2" i="1"/>
  <c r="S2" i="1"/>
  <c r="T2" i="1"/>
  <c r="U2" i="1"/>
  <c r="V2" i="1"/>
  <c r="S3" i="1"/>
  <c r="T3" i="1"/>
  <c r="U3" i="1"/>
  <c r="V3" i="1"/>
  <c r="S4" i="1"/>
  <c r="T4" i="1"/>
  <c r="U4" i="1"/>
  <c r="V4" i="1"/>
  <c r="S5" i="1"/>
  <c r="T5" i="1"/>
  <c r="U5" i="1"/>
  <c r="V5" i="1"/>
  <c r="S6" i="1"/>
  <c r="T6" i="1"/>
  <c r="U6" i="1"/>
  <c r="V6" i="1"/>
  <c r="S7" i="1"/>
  <c r="T7" i="1"/>
  <c r="U7" i="1"/>
  <c r="V7" i="1"/>
  <c r="S8" i="1"/>
  <c r="T8" i="1"/>
  <c r="U8" i="1"/>
  <c r="V8" i="1"/>
  <c r="S9" i="1"/>
  <c r="T9" i="1"/>
  <c r="U9" i="1"/>
  <c r="V9" i="1"/>
  <c r="S10" i="1"/>
  <c r="T10" i="1"/>
  <c r="U10" i="1"/>
  <c r="V10" i="1"/>
  <c r="S11" i="1"/>
  <c r="T11" i="1"/>
  <c r="U11" i="1"/>
  <c r="V11" i="1"/>
  <c r="S12" i="1"/>
  <c r="T12" i="1"/>
  <c r="U12" i="1"/>
  <c r="V12" i="1"/>
  <c r="N3" i="1" l="1"/>
  <c r="E8" i="1"/>
  <c r="B10" i="4"/>
  <c r="B11" i="4"/>
  <c r="B12" i="4"/>
  <c r="H7" i="1" l="1"/>
  <c r="Q26" i="1"/>
  <c r="R26" i="1"/>
  <c r="P12" i="1" l="1"/>
  <c r="P11" i="1"/>
  <c r="P4" i="1"/>
  <c r="P7" i="1"/>
  <c r="P8" i="1"/>
  <c r="P5" i="1"/>
  <c r="P3" i="1"/>
  <c r="P9" i="1"/>
  <c r="P2" i="1"/>
  <c r="P10" i="1"/>
  <c r="P6" i="1"/>
  <c r="M5" i="1" l="1"/>
  <c r="Q25" i="1"/>
  <c r="R25" i="1"/>
  <c r="R6" i="1"/>
  <c r="Q6" i="1"/>
  <c r="R10" i="1"/>
  <c r="Q10" i="1"/>
  <c r="R2" i="1"/>
  <c r="Q2" i="1"/>
  <c r="R9" i="1"/>
  <c r="Q9" i="1"/>
  <c r="R3" i="1"/>
  <c r="Q3" i="1"/>
  <c r="R5" i="1"/>
  <c r="Q5" i="1"/>
  <c r="R8" i="1"/>
  <c r="Q8" i="1"/>
  <c r="R7" i="1"/>
  <c r="Q7" i="1"/>
  <c r="R4" i="1"/>
  <c r="Q4" i="1"/>
  <c r="R11" i="1"/>
  <c r="Q11" i="1"/>
  <c r="R12" i="1"/>
  <c r="Q12" i="1"/>
</calcChain>
</file>

<file path=xl/sharedStrings.xml><?xml version="1.0" encoding="utf-8"?>
<sst xmlns="http://schemas.openxmlformats.org/spreadsheetml/2006/main" count="65" uniqueCount="59">
  <si>
    <t>Projectile Motion Illustrator</t>
  </si>
  <si>
    <t>time</t>
  </si>
  <si>
    <t>dist</t>
  </si>
  <si>
    <t>height</t>
  </si>
  <si>
    <t>launch</t>
  </si>
  <si>
    <t>landing</t>
  </si>
  <si>
    <t>wall</t>
  </si>
  <si>
    <t>horiz lnch</t>
  </si>
  <si>
    <t>Dist of wall</t>
  </si>
  <si>
    <t>Vertical wall position X</t>
  </si>
  <si>
    <t>Projectile speed</t>
  </si>
  <si>
    <t xml:space="preserve">Initial vertical velocity </t>
  </si>
  <si>
    <t>Y at Wall</t>
  </si>
  <si>
    <t xml:space="preserve">Horizontal velocity </t>
  </si>
  <si>
    <t>Height of wall Y</t>
  </si>
  <si>
    <t>Projectile angle above horizon</t>
  </si>
  <si>
    <t>Maximum altitude reached</t>
  </si>
  <si>
    <t>Time in flight to vertical wall</t>
  </si>
  <si>
    <t>Launch plane altitude</t>
  </si>
  <si>
    <t>Time to rise through landing plane</t>
  </si>
  <si>
    <t>Vertical wall crossing altitude</t>
  </si>
  <si>
    <t>Landing plane crossing position</t>
  </si>
  <si>
    <t>Vertical velocity at wall</t>
  </si>
  <si>
    <t>Horizontal launch position</t>
  </si>
  <si>
    <t>Projectile speed at wall</t>
  </si>
  <si>
    <t>Time to impact on landing plane</t>
  </si>
  <si>
    <t>Gravitational acceleration</t>
  </si>
  <si>
    <t>Landing position X</t>
  </si>
  <si>
    <t>Final vertical velocity</t>
  </si>
  <si>
    <t>Fixed X axes</t>
  </si>
  <si>
    <t>Landing plane altitude</t>
  </si>
  <si>
    <t>Final projectile speed</t>
  </si>
  <si>
    <t>Fixed Y axis</t>
  </si>
  <si>
    <t>t</t>
  </si>
  <si>
    <t>s</t>
  </si>
  <si>
    <t>m</t>
  </si>
  <si>
    <t>x limits</t>
  </si>
  <si>
    <t>m/s</t>
  </si>
  <si>
    <t>y limits</t>
  </si>
  <si>
    <t>angle</t>
  </si>
  <si>
    <t>Written by George Lyle</t>
  </si>
  <si>
    <t xml:space="preserve">catapult calcs </t>
  </si>
  <si>
    <t>given</t>
  </si>
  <si>
    <t>range</t>
  </si>
  <si>
    <t>t to max</t>
  </si>
  <si>
    <t>v horiz</t>
  </si>
  <si>
    <t>v vert</t>
  </si>
  <si>
    <t>v launch</t>
  </si>
  <si>
    <t>h max</t>
  </si>
  <si>
    <t>John Rice</t>
  </si>
  <si>
    <t>IB Physics</t>
  </si>
  <si>
    <t>Niwot High School</t>
  </si>
  <si>
    <t>Niwot CO</t>
  </si>
  <si>
    <t>based off of http://www.csun.edu/~gsl05670/tools/projectile_motion/projectile_motion.htm</t>
  </si>
  <si>
    <t>Temp Calcs to fix the axes</t>
  </si>
  <si>
    <r>
      <t xml:space="preserve">Input values in this column     </t>
    </r>
    <r>
      <rPr>
        <b/>
        <sz val="12"/>
        <rFont val="Calibri"/>
        <family val="2"/>
      </rPr>
      <t>↓</t>
    </r>
  </si>
  <si>
    <r>
      <t xml:space="preserve">Output values appear here       </t>
    </r>
    <r>
      <rPr>
        <b/>
        <sz val="12"/>
        <rFont val="Calibri"/>
        <family val="2"/>
        <scheme val="minor"/>
      </rPr>
      <t>↓</t>
    </r>
  </si>
  <si>
    <r>
      <t xml:space="preserve">Enter position of wall here       </t>
    </r>
    <r>
      <rPr>
        <b/>
        <sz val="12"/>
        <rFont val="Calibri"/>
        <family val="2"/>
        <scheme val="minor"/>
      </rPr>
      <t>↓</t>
    </r>
  </si>
  <si>
    <t>optional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</si>
</sst>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28"/>
      <name val="Arial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0" fillId="5" borderId="0" xfId="0" applyFill="1" applyProtection="1"/>
    <xf numFmtId="164" fontId="0" fillId="5" borderId="0" xfId="0" applyNumberFormat="1" applyFill="1" applyAlignment="1" applyProtection="1">
      <alignment horizontal="right"/>
    </xf>
    <xf numFmtId="0" fontId="0" fillId="0" borderId="0" xfId="0" applyProtection="1"/>
    <xf numFmtId="164" fontId="0" fillId="0" borderId="0" xfId="0" applyNumberFormat="1" applyAlignment="1" applyProtection="1">
      <alignment horizontal="right"/>
    </xf>
    <xf numFmtId="0" fontId="0" fillId="2" borderId="0" xfId="0" applyFill="1" applyProtection="1"/>
    <xf numFmtId="164" fontId="0" fillId="2" borderId="0" xfId="0" applyNumberFormat="1" applyFill="1" applyAlignment="1" applyProtection="1">
      <alignment horizontal="right"/>
    </xf>
    <xf numFmtId="0" fontId="5" fillId="2" borderId="0" xfId="0" applyFont="1" applyFill="1" applyProtection="1"/>
    <xf numFmtId="164" fontId="0" fillId="3" borderId="0" xfId="0" applyNumberFormat="1" applyFill="1" applyAlignment="1" applyProtection="1">
      <alignment horizontal="right"/>
    </xf>
    <xf numFmtId="0" fontId="5" fillId="3" borderId="0" xfId="0" applyFont="1" applyFill="1" applyAlignment="1" applyProtection="1"/>
    <xf numFmtId="0" fontId="0" fillId="3" borderId="0" xfId="0" applyFill="1" applyProtection="1"/>
    <xf numFmtId="0" fontId="7" fillId="0" borderId="0" xfId="0" applyFont="1"/>
    <xf numFmtId="2" fontId="7" fillId="0" borderId="0" xfId="0" applyNumberFormat="1" applyFont="1"/>
    <xf numFmtId="0" fontId="5" fillId="3" borderId="0" xfId="0" applyFont="1" applyFill="1" applyAlignment="1" applyProtection="1">
      <alignment vertical="center"/>
    </xf>
    <xf numFmtId="0" fontId="5" fillId="0" borderId="0" xfId="0" applyFont="1" applyProtection="1"/>
    <xf numFmtId="0" fontId="5" fillId="0" borderId="0" xfId="0" applyFont="1" applyBorder="1" applyProtection="1"/>
    <xf numFmtId="0" fontId="5" fillId="0" borderId="1" xfId="0" applyFont="1" applyBorder="1" applyProtection="1"/>
    <xf numFmtId="0" fontId="5" fillId="0" borderId="0" xfId="0" applyFont="1" applyFill="1" applyBorder="1" applyProtection="1"/>
    <xf numFmtId="0" fontId="5" fillId="4" borderId="1" xfId="0" applyFont="1" applyFill="1" applyBorder="1" applyProtection="1"/>
    <xf numFmtId="0" fontId="0" fillId="0" borderId="0" xfId="0" applyAlignment="1" applyProtection="1">
      <alignment horizontal="right"/>
    </xf>
    <xf numFmtId="9" fontId="5" fillId="0" borderId="0" xfId="0" applyNumberFormat="1" applyFont="1" applyProtection="1"/>
    <xf numFmtId="0" fontId="5" fillId="0" borderId="0" xfId="0" applyFont="1" applyAlignment="1" applyProtection="1">
      <alignment horizontal="right"/>
    </xf>
    <xf numFmtId="164" fontId="5" fillId="0" borderId="0" xfId="0" applyNumberFormat="1" applyFont="1" applyAlignment="1" applyProtection="1">
      <alignment horizontal="right"/>
    </xf>
    <xf numFmtId="0" fontId="6" fillId="0" borderId="0" xfId="0" applyFont="1" applyProtection="1"/>
    <xf numFmtId="0" fontId="0" fillId="7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7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</xf>
    <xf numFmtId="0" fontId="0" fillId="6" borderId="0" xfId="0" applyFill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</xf>
    <xf numFmtId="0" fontId="0" fillId="9" borderId="0" xfId="0" applyFill="1" applyBorder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ill="1" applyBorder="1" applyAlignment="1" applyProtection="1">
      <alignment vertical="center"/>
    </xf>
    <xf numFmtId="0" fontId="0" fillId="9" borderId="0" xfId="0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0" fillId="0" borderId="0" xfId="0" applyAlignment="1" applyProtection="1"/>
    <xf numFmtId="0" fontId="3" fillId="8" borderId="0" xfId="0" applyFont="1" applyFill="1" applyAlignment="1" applyProtection="1">
      <alignment horizontal="center"/>
    </xf>
    <xf numFmtId="0" fontId="4" fillId="8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10" borderId="0" xfId="0" applyFill="1" applyProtection="1">
      <protection locked="0"/>
    </xf>
    <xf numFmtId="0" fontId="5" fillId="0" borderId="0" xfId="1"/>
    <xf numFmtId="164" fontId="0" fillId="0" borderId="0" xfId="0" applyNumberFormat="1" applyProtection="1"/>
    <xf numFmtId="0" fontId="0" fillId="0" borderId="0" xfId="0" applyFont="1" applyFill="1" applyAlignment="1" applyProtection="1">
      <alignment horizontal="right"/>
    </xf>
  </cellXfs>
  <cellStyles count="2">
    <cellStyle name="Normal" xfId="0" builtinId="0"/>
    <cellStyle name="Normal 2" xfId="1"/>
  </cellStyles>
  <dxfs count="10"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Trajectory</a:t>
            </a:r>
          </a:p>
        </c:rich>
      </c:tx>
      <c:layout>
        <c:manualLayout>
          <c:xMode val="edge"/>
          <c:yMode val="edge"/>
          <c:x val="0.37251685743873642"/>
          <c:y val="2.78884462151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38100018781122E-2"/>
          <c:y val="9.6013012457949812E-2"/>
          <c:w val="0.79605927381515351"/>
          <c:h val="0.75638695163104608"/>
        </c:manualLayout>
      </c:layout>
      <c:scatterChart>
        <c:scatterStyle val="smoothMarker"/>
        <c:varyColors val="0"/>
        <c:ser>
          <c:idx val="0"/>
          <c:order val="0"/>
          <c:tx>
            <c:v>Projectile path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main!$Q$2:$Q$12</c:f>
              <c:numCache>
                <c:formatCode>General</c:formatCode>
                <c:ptCount val="11"/>
                <c:pt idx="0">
                  <c:v>0</c:v>
                </c:pt>
                <c:pt idx="1">
                  <c:v>1.3596745662510501</c:v>
                </c:pt>
                <c:pt idx="2">
                  <c:v>2.7193491325021002</c:v>
                </c:pt>
                <c:pt idx="3">
                  <c:v>4.0790236987531507</c:v>
                </c:pt>
                <c:pt idx="4">
                  <c:v>5.4386982650042004</c:v>
                </c:pt>
                <c:pt idx="5">
                  <c:v>6.7983728312552509</c:v>
                </c:pt>
                <c:pt idx="6">
                  <c:v>8.1580473975063015</c:v>
                </c:pt>
                <c:pt idx="7">
                  <c:v>9.5177219637573494</c:v>
                </c:pt>
                <c:pt idx="8">
                  <c:v>10.877396530008401</c:v>
                </c:pt>
                <c:pt idx="9">
                  <c:v>12.237071096259452</c:v>
                </c:pt>
                <c:pt idx="10">
                  <c:v>13.596745662510502</c:v>
                </c:pt>
              </c:numCache>
            </c:numRef>
          </c:xVal>
          <c:yVal>
            <c:numRef>
              <c:f>main!$R$2:$R$12</c:f>
              <c:numCache>
                <c:formatCode>General</c:formatCode>
                <c:ptCount val="11"/>
                <c:pt idx="0">
                  <c:v>0.39</c:v>
                </c:pt>
                <c:pt idx="1">
                  <c:v>1.0926076291517981</c:v>
                </c:pt>
                <c:pt idx="2">
                  <c:v>1.6304135629365299</c:v>
                </c:pt>
                <c:pt idx="3">
                  <c:v>2.0034178013541957</c:v>
                </c:pt>
                <c:pt idx="4">
                  <c:v>2.2116203444047953</c:v>
                </c:pt>
                <c:pt idx="5">
                  <c:v>2.2550211920883276</c:v>
                </c:pt>
                <c:pt idx="6">
                  <c:v>2.1336203444047945</c:v>
                </c:pt>
                <c:pt idx="7">
                  <c:v>1.8474178013541955</c:v>
                </c:pt>
                <c:pt idx="8">
                  <c:v>1.3964135629365302</c:v>
                </c:pt>
                <c:pt idx="9">
                  <c:v>0.78060762915179804</c:v>
                </c:pt>
                <c:pt idx="1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15A-4C2B-8313-F86C656BF61F}"/>
            </c:ext>
          </c:extLst>
        </c:ser>
        <c:ser>
          <c:idx val="1"/>
          <c:order val="1"/>
          <c:tx>
            <c:v>Launch plane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main!$Q$2:$Q$12</c:f>
              <c:numCache>
                <c:formatCode>General</c:formatCode>
                <c:ptCount val="11"/>
                <c:pt idx="0">
                  <c:v>0</c:v>
                </c:pt>
                <c:pt idx="1">
                  <c:v>1.3596745662510501</c:v>
                </c:pt>
                <c:pt idx="2">
                  <c:v>2.7193491325021002</c:v>
                </c:pt>
                <c:pt idx="3">
                  <c:v>4.0790236987531507</c:v>
                </c:pt>
                <c:pt idx="4">
                  <c:v>5.4386982650042004</c:v>
                </c:pt>
                <c:pt idx="5">
                  <c:v>6.7983728312552509</c:v>
                </c:pt>
                <c:pt idx="6">
                  <c:v>8.1580473975063015</c:v>
                </c:pt>
                <c:pt idx="7">
                  <c:v>9.5177219637573494</c:v>
                </c:pt>
                <c:pt idx="8">
                  <c:v>10.877396530008401</c:v>
                </c:pt>
                <c:pt idx="9">
                  <c:v>12.237071096259452</c:v>
                </c:pt>
                <c:pt idx="10">
                  <c:v>13.596745662510502</c:v>
                </c:pt>
              </c:numCache>
            </c:numRef>
          </c:xVal>
          <c:yVal>
            <c:numRef>
              <c:f>main!$S$2:$S$12</c:f>
              <c:numCache>
                <c:formatCode>General</c:formatCode>
                <c:ptCount val="11"/>
                <c:pt idx="0">
                  <c:v>0.39</c:v>
                </c:pt>
                <c:pt idx="1">
                  <c:v>0.39</c:v>
                </c:pt>
                <c:pt idx="2">
                  <c:v>0.39</c:v>
                </c:pt>
                <c:pt idx="3">
                  <c:v>0.39</c:v>
                </c:pt>
                <c:pt idx="4">
                  <c:v>0.39</c:v>
                </c:pt>
                <c:pt idx="5">
                  <c:v>0.39</c:v>
                </c:pt>
                <c:pt idx="6">
                  <c:v>0.39</c:v>
                </c:pt>
                <c:pt idx="7">
                  <c:v>0.39</c:v>
                </c:pt>
                <c:pt idx="8">
                  <c:v>0.39</c:v>
                </c:pt>
                <c:pt idx="9">
                  <c:v>0.39</c:v>
                </c:pt>
                <c:pt idx="10">
                  <c:v>0.39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15A-4C2B-8313-F86C656BF61F}"/>
            </c:ext>
          </c:extLst>
        </c:ser>
        <c:ser>
          <c:idx val="2"/>
          <c:order val="2"/>
          <c:tx>
            <c:v>Landing plane</c:v>
          </c:tx>
          <c:spPr>
            <a:ln w="63500">
              <a:solidFill>
                <a:srgbClr val="00FF00"/>
              </a:solidFill>
              <a:prstDash val="solid"/>
            </a:ln>
          </c:spPr>
          <c:marker>
            <c:symbol val="none"/>
          </c:marker>
          <c:dPt>
            <c:idx val="10"/>
            <c:bubble3D val="0"/>
            <c:spPr>
              <a:ln w="76200">
                <a:solidFill>
                  <a:srgbClr val="00FF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15A-4C2B-8313-F86C656BF61F}"/>
              </c:ext>
            </c:extLst>
          </c:dPt>
          <c:xVal>
            <c:numRef>
              <c:f>main!$Q$2:$Q$12</c:f>
              <c:numCache>
                <c:formatCode>General</c:formatCode>
                <c:ptCount val="11"/>
                <c:pt idx="0">
                  <c:v>0</c:v>
                </c:pt>
                <c:pt idx="1">
                  <c:v>1.3596745662510501</c:v>
                </c:pt>
                <c:pt idx="2">
                  <c:v>2.7193491325021002</c:v>
                </c:pt>
                <c:pt idx="3">
                  <c:v>4.0790236987531507</c:v>
                </c:pt>
                <c:pt idx="4">
                  <c:v>5.4386982650042004</c:v>
                </c:pt>
                <c:pt idx="5">
                  <c:v>6.7983728312552509</c:v>
                </c:pt>
                <c:pt idx="6">
                  <c:v>8.1580473975063015</c:v>
                </c:pt>
                <c:pt idx="7">
                  <c:v>9.5177219637573494</c:v>
                </c:pt>
                <c:pt idx="8">
                  <c:v>10.877396530008401</c:v>
                </c:pt>
                <c:pt idx="9">
                  <c:v>12.237071096259452</c:v>
                </c:pt>
                <c:pt idx="10">
                  <c:v>13.596745662510502</c:v>
                </c:pt>
              </c:numCache>
            </c:numRef>
          </c:xVal>
          <c:yVal>
            <c:numRef>
              <c:f>main!$T$2:$T$12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15A-4C2B-8313-F86C656BF61F}"/>
            </c:ext>
          </c:extLst>
        </c:ser>
        <c:ser>
          <c:idx val="3"/>
          <c:order val="3"/>
          <c:tx>
            <c:v>Vertical Wall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main!$X$2:$X$3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main!$Y$2:$Y$3</c:f>
              <c:numCache>
                <c:formatCode>General</c:formatCode>
                <c:ptCount val="2"/>
                <c:pt idx="0">
                  <c:v>0</c:v>
                </c:pt>
                <c:pt idx="1">
                  <c:v>0.1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015A-4C2B-8313-F86C656BF61F}"/>
            </c:ext>
          </c:extLst>
        </c:ser>
        <c:ser>
          <c:idx val="4"/>
          <c:order val="4"/>
          <c:tx>
            <c:v>Launch position</c:v>
          </c:tx>
          <c:spPr>
            <a:ln w="635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main!$V$2:$V$12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main!$R$2:$R$12</c:f>
              <c:numCache>
                <c:formatCode>General</c:formatCode>
                <c:ptCount val="11"/>
                <c:pt idx="0">
                  <c:v>0.39</c:v>
                </c:pt>
                <c:pt idx="1">
                  <c:v>1.0926076291517981</c:v>
                </c:pt>
                <c:pt idx="2">
                  <c:v>1.6304135629365299</c:v>
                </c:pt>
                <c:pt idx="3">
                  <c:v>2.0034178013541957</c:v>
                </c:pt>
                <c:pt idx="4">
                  <c:v>2.2116203444047953</c:v>
                </c:pt>
                <c:pt idx="5">
                  <c:v>2.2550211920883276</c:v>
                </c:pt>
                <c:pt idx="6">
                  <c:v>2.1336203444047945</c:v>
                </c:pt>
                <c:pt idx="7">
                  <c:v>1.8474178013541955</c:v>
                </c:pt>
                <c:pt idx="8">
                  <c:v>1.3964135629365302</c:v>
                </c:pt>
                <c:pt idx="9">
                  <c:v>0.78060762915179804</c:v>
                </c:pt>
                <c:pt idx="1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015A-4C2B-8313-F86C656BF61F}"/>
            </c:ext>
          </c:extLst>
        </c:ser>
        <c:ser>
          <c:idx val="5"/>
          <c:order val="5"/>
          <c:spPr>
            <a:ln>
              <a:noFill/>
            </a:ln>
          </c:spPr>
          <c:marker>
            <c:symbol val="none"/>
          </c:marker>
          <c:xVal>
            <c:numRef>
              <c:f>main!$Q$22:$Q$23</c:f>
              <c:numCache>
                <c:formatCode>General</c:formatCode>
                <c:ptCount val="2"/>
                <c:pt idx="0">
                  <c:v>0</c:v>
                </c:pt>
                <c:pt idx="1">
                  <c:v>0.9</c:v>
                </c:pt>
              </c:numCache>
            </c:numRef>
          </c:xVal>
          <c:yVal>
            <c:numRef>
              <c:f>main!$R$22:$R$23</c:f>
              <c:numCache>
                <c:formatCode>General</c:formatCode>
                <c:ptCount val="2"/>
                <c:pt idx="0">
                  <c:v>0</c:v>
                </c:pt>
                <c:pt idx="1">
                  <c:v>0.9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015A-4C2B-8313-F86C656BF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35726704"/>
        <c:axId val="-1935733232"/>
      </c:scatterChart>
      <c:valAx>
        <c:axId val="-193572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position</a:t>
                </a:r>
              </a:p>
            </c:rich>
          </c:tx>
          <c:layout>
            <c:manualLayout>
              <c:xMode val="edge"/>
              <c:yMode val="edge"/>
              <c:x val="0.40066257555632984"/>
              <c:y val="0.8924302788844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-1935733232"/>
        <c:crosses val="autoZero"/>
        <c:crossBetween val="midCat"/>
      </c:valAx>
      <c:valAx>
        <c:axId val="-193573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altitude</a:t>
                </a:r>
              </a:p>
            </c:rich>
          </c:tx>
          <c:layout>
            <c:manualLayout>
              <c:xMode val="edge"/>
              <c:yMode val="edge"/>
              <c:x val="8.2781523875274758E-3"/>
              <c:y val="0.362549800796812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-1935726704"/>
        <c:crosses val="autoZero"/>
        <c:crossBetween val="midCat"/>
      </c:valAx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9798543131517818"/>
          <c:y val="3.1437186575206014E-2"/>
          <c:w val="0.18726112872406475"/>
          <c:h val="0.27084489438820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14</xdr:row>
      <xdr:rowOff>19050</xdr:rowOff>
    </xdr:from>
    <xdr:to>
      <xdr:col>8</xdr:col>
      <xdr:colOff>504824</xdr:colOff>
      <xdr:row>37</xdr:row>
      <xdr:rowOff>104775</xdr:rowOff>
    </xdr:to>
    <xdr:graphicFrame macro="">
      <xdr:nvGraphicFramePr>
        <xdr:cNvPr id="1025" name="Chart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9"/>
  <sheetViews>
    <sheetView showGridLines="0" tabSelected="1" zoomScale="80" zoomScaleNormal="80" workbookViewId="0">
      <selection activeCell="H4" sqref="H4"/>
    </sheetView>
  </sheetViews>
  <sheetFormatPr defaultRowHeight="12.75" x14ac:dyDescent="0.2"/>
  <cols>
    <col min="1" max="1" width="28.85546875" style="3" customWidth="1"/>
    <col min="2" max="2" width="9.140625" style="3"/>
    <col min="3" max="3" width="4" style="3" customWidth="1"/>
    <col min="4" max="4" width="30.28515625" style="3" customWidth="1"/>
    <col min="5" max="5" width="13.5703125" style="3" customWidth="1"/>
    <col min="6" max="6" width="3.85546875" style="3" customWidth="1"/>
    <col min="7" max="7" width="26.28515625" style="3" customWidth="1"/>
    <col min="8" max="8" width="11.7109375" style="3" customWidth="1"/>
    <col min="9" max="16384" width="9.140625" style="3"/>
  </cols>
  <sheetData>
    <row r="1" spans="1:25" ht="20.25" x14ac:dyDescent="0.3">
      <c r="A1" s="40" t="s">
        <v>0</v>
      </c>
      <c r="B1" s="41"/>
      <c r="C1" s="41"/>
      <c r="D1" s="41"/>
      <c r="E1" s="41"/>
      <c r="M1" s="14"/>
      <c r="N1" s="14"/>
      <c r="O1" s="14"/>
      <c r="P1" s="14" t="s">
        <v>1</v>
      </c>
      <c r="Q1" s="15" t="s">
        <v>2</v>
      </c>
      <c r="R1" s="16" t="s">
        <v>3</v>
      </c>
      <c r="S1" s="17" t="s">
        <v>4</v>
      </c>
      <c r="T1" s="17" t="s">
        <v>5</v>
      </c>
      <c r="U1" s="17" t="s">
        <v>6</v>
      </c>
      <c r="V1" s="17" t="s">
        <v>7</v>
      </c>
      <c r="W1" s="14"/>
      <c r="X1" s="17" t="s">
        <v>8</v>
      </c>
      <c r="Y1" s="17" t="s">
        <v>6</v>
      </c>
    </row>
    <row r="2" spans="1:25" ht="15.75" x14ac:dyDescent="0.25">
      <c r="A2" s="42" t="s">
        <v>55</v>
      </c>
      <c r="B2" s="43"/>
      <c r="D2" s="42" t="s">
        <v>56</v>
      </c>
      <c r="E2" s="43"/>
      <c r="G2" s="36" t="s">
        <v>57</v>
      </c>
      <c r="N2" s="14"/>
      <c r="O2" s="14"/>
      <c r="P2" s="14">
        <f>(Ttotal)*0</f>
        <v>0</v>
      </c>
      <c r="Q2" s="15">
        <f t="shared" ref="Q2:Q12" si="0">LaunchX+VinitX*P2</f>
        <v>0</v>
      </c>
      <c r="R2" s="18">
        <f t="shared" ref="R2:R11" si="1">LaunchY+VinitY*P2+0.5*g*P2^2</f>
        <v>0.39</v>
      </c>
      <c r="S2" s="14">
        <f>B7</f>
        <v>0.39</v>
      </c>
      <c r="T2" s="14">
        <f>B13</f>
        <v>0</v>
      </c>
      <c r="U2" s="14">
        <f>H3</f>
        <v>1</v>
      </c>
      <c r="V2" s="14">
        <f>B9</f>
        <v>0</v>
      </c>
      <c r="W2" s="14"/>
      <c r="X2" s="14">
        <f>WallX</f>
        <v>1</v>
      </c>
      <c r="Y2" s="14">
        <f>MIN(LaunchY,LandingY)</f>
        <v>0</v>
      </c>
    </row>
    <row r="3" spans="1:25" x14ac:dyDescent="0.2">
      <c r="A3" s="26" t="s">
        <v>10</v>
      </c>
      <c r="B3" s="24">
        <v>12.106999999999999</v>
      </c>
      <c r="D3" s="1" t="s">
        <v>11</v>
      </c>
      <c r="E3" s="2">
        <f>vinitial*SIN(angle*(PI()/180))</f>
        <v>6.0534999999999988</v>
      </c>
      <c r="G3" s="13" t="s">
        <v>9</v>
      </c>
      <c r="H3" s="37">
        <v>1</v>
      </c>
      <c r="M3" s="14" t="s">
        <v>12</v>
      </c>
      <c r="N3" s="3">
        <f>LaunchY+VinitY*H6+0.5*g*H6^2</f>
        <v>0.92277830921907522</v>
      </c>
      <c r="O3" s="14"/>
      <c r="P3" s="14">
        <f>(Ttotal)*0.1</f>
        <v>0.12967844665653447</v>
      </c>
      <c r="Q3" s="15">
        <f t="shared" si="0"/>
        <v>1.3596745662510501</v>
      </c>
      <c r="R3" s="18">
        <f t="shared" si="1"/>
        <v>1.0926076291517981</v>
      </c>
      <c r="S3" s="14">
        <f>B7</f>
        <v>0.39</v>
      </c>
      <c r="T3" s="14">
        <f>B13</f>
        <v>0</v>
      </c>
      <c r="U3" s="14">
        <f>H3</f>
        <v>1</v>
      </c>
      <c r="V3" s="14">
        <f>B9</f>
        <v>0</v>
      </c>
      <c r="W3" s="14"/>
      <c r="X3" s="14">
        <f>WallX</f>
        <v>1</v>
      </c>
      <c r="Y3" s="14">
        <f>WallY</f>
        <v>0.1</v>
      </c>
    </row>
    <row r="4" spans="1:25" x14ac:dyDescent="0.2">
      <c r="A4" s="27"/>
      <c r="B4" s="25"/>
      <c r="D4" s="1" t="s">
        <v>13</v>
      </c>
      <c r="E4" s="2">
        <f>vinitial*COS(angle*(PI()/180))</f>
        <v>10.484969563618199</v>
      </c>
      <c r="G4" s="9" t="s">
        <v>14</v>
      </c>
      <c r="H4" s="38">
        <v>0.1</v>
      </c>
      <c r="N4" s="14"/>
      <c r="O4" s="14"/>
      <c r="P4" s="14">
        <f>(Ttotal)*0.2</f>
        <v>0.25935689331306894</v>
      </c>
      <c r="Q4" s="15">
        <f t="shared" si="0"/>
        <v>2.7193491325021002</v>
      </c>
      <c r="R4" s="18">
        <f t="shared" si="1"/>
        <v>1.6304135629365299</v>
      </c>
      <c r="S4" s="14">
        <f>B7</f>
        <v>0.39</v>
      </c>
      <c r="T4" s="14">
        <f>B13</f>
        <v>0</v>
      </c>
      <c r="U4" s="14">
        <f>H3</f>
        <v>1</v>
      </c>
      <c r="V4" s="14">
        <f>B9</f>
        <v>0</v>
      </c>
      <c r="W4" s="14"/>
      <c r="X4" s="14"/>
      <c r="Y4" s="14"/>
    </row>
    <row r="5" spans="1:25" x14ac:dyDescent="0.2">
      <c r="A5" s="26" t="s">
        <v>15</v>
      </c>
      <c r="B5" s="24">
        <v>30</v>
      </c>
      <c r="D5" s="1" t="s">
        <v>16</v>
      </c>
      <c r="E5" s="2">
        <f>IF(VinitY&lt;0,LaunchY,LaunchY-(VinitY^2)/(2*g))</f>
        <v>2.2596358290816321</v>
      </c>
      <c r="M5" s="3">
        <f>IF(H7="**CRASH**",1,0)</f>
        <v>0</v>
      </c>
      <c r="N5" s="14"/>
      <c r="O5" s="14"/>
      <c r="P5" s="14">
        <f>(Ttotal)*0.3</f>
        <v>0.38903533996960343</v>
      </c>
      <c r="Q5" s="15">
        <f t="shared" si="0"/>
        <v>4.0790236987531507</v>
      </c>
      <c r="R5" s="18">
        <f t="shared" si="1"/>
        <v>2.0034178013541957</v>
      </c>
      <c r="S5" s="14">
        <f>B7</f>
        <v>0.39</v>
      </c>
      <c r="T5" s="14">
        <f>B13</f>
        <v>0</v>
      </c>
      <c r="U5" s="14">
        <f>H3</f>
        <v>1</v>
      </c>
      <c r="V5" s="14">
        <f>B9</f>
        <v>0</v>
      </c>
      <c r="W5" s="14"/>
      <c r="X5" s="14"/>
      <c r="Y5" s="14"/>
    </row>
    <row r="6" spans="1:25" x14ac:dyDescent="0.2">
      <c r="A6" s="27"/>
      <c r="B6" s="25"/>
      <c r="E6" s="4"/>
      <c r="G6" s="10" t="s">
        <v>17</v>
      </c>
      <c r="H6" s="8">
        <f>(WallX-LaunchX)/VinitX</f>
        <v>9.5374621159597883E-2</v>
      </c>
      <c r="N6" s="14"/>
      <c r="O6" s="14"/>
      <c r="P6" s="14">
        <f>(Ttotal)*0.4</f>
        <v>0.51871378662613787</v>
      </c>
      <c r="Q6" s="15">
        <f t="shared" si="0"/>
        <v>5.4386982650042004</v>
      </c>
      <c r="R6" s="18">
        <f t="shared" si="1"/>
        <v>2.2116203444047953</v>
      </c>
      <c r="S6" s="14">
        <f>B7</f>
        <v>0.39</v>
      </c>
      <c r="T6" s="14">
        <f>B13</f>
        <v>0</v>
      </c>
      <c r="U6" s="14">
        <f>H3</f>
        <v>1</v>
      </c>
      <c r="V6" s="14">
        <f>B9</f>
        <v>0</v>
      </c>
      <c r="W6" s="14"/>
      <c r="X6" s="14"/>
      <c r="Y6" s="14"/>
    </row>
    <row r="7" spans="1:25" x14ac:dyDescent="0.2">
      <c r="A7" s="31" t="s">
        <v>18</v>
      </c>
      <c r="B7" s="30">
        <v>0.39</v>
      </c>
      <c r="D7" s="5" t="s">
        <v>19</v>
      </c>
      <c r="E7" s="6" t="str">
        <f>IF(OR(LaunchY&gt;LandingY,MaxY&lt;LandingY),"Never",(-VinitY+((VinitY^2-4*(0.5*g)*(LaunchY-LandingY)))^0.5)/(2*0.5*g))</f>
        <v>Never</v>
      </c>
      <c r="G7" s="10" t="s">
        <v>20</v>
      </c>
      <c r="H7" s="8">
        <f>IF(N3&lt;WallY,"**CRASH**",N3)</f>
        <v>0.92277830921907522</v>
      </c>
      <c r="N7" s="14"/>
      <c r="O7" s="14"/>
      <c r="P7" s="14">
        <f>(Ttotal)*0.5</f>
        <v>0.64839223328267237</v>
      </c>
      <c r="Q7" s="15">
        <f t="shared" si="0"/>
        <v>6.7983728312552509</v>
      </c>
      <c r="R7" s="18">
        <f t="shared" si="1"/>
        <v>2.2550211920883276</v>
      </c>
      <c r="S7" s="14">
        <f>B7</f>
        <v>0.39</v>
      </c>
      <c r="T7" s="14">
        <f>B13</f>
        <v>0</v>
      </c>
      <c r="U7" s="14">
        <f>H3</f>
        <v>1</v>
      </c>
      <c r="V7" s="14">
        <f>B9</f>
        <v>0</v>
      </c>
      <c r="W7" s="14"/>
      <c r="X7" s="14"/>
      <c r="Y7" s="14"/>
    </row>
    <row r="8" spans="1:25" x14ac:dyDescent="0.2">
      <c r="A8" s="27"/>
      <c r="B8" s="25"/>
      <c r="D8" s="5" t="s">
        <v>21</v>
      </c>
      <c r="E8" s="6" t="str">
        <f>IF(OR(B7&gt;B13,E5&lt;B13),"",B9+E4*E7)</f>
        <v/>
      </c>
      <c r="G8" s="10" t="s">
        <v>22</v>
      </c>
      <c r="H8" s="8">
        <f>VinitY+g*TimeToWall</f>
        <v>5.1188287126359393</v>
      </c>
      <c r="N8" s="14"/>
      <c r="O8" s="14"/>
      <c r="P8" s="14">
        <f>(Ttotal)*0.6</f>
        <v>0.77807067993920687</v>
      </c>
      <c r="Q8" s="15">
        <f t="shared" si="0"/>
        <v>8.1580473975063015</v>
      </c>
      <c r="R8" s="18">
        <f t="shared" si="1"/>
        <v>2.1336203444047945</v>
      </c>
      <c r="S8" s="14">
        <f>B7</f>
        <v>0.39</v>
      </c>
      <c r="T8" s="14">
        <f>B13</f>
        <v>0</v>
      </c>
      <c r="U8" s="14">
        <f>H3</f>
        <v>1</v>
      </c>
      <c r="V8" s="14">
        <f>B9</f>
        <v>0</v>
      </c>
      <c r="W8" s="14"/>
      <c r="X8" s="14"/>
      <c r="Y8" s="14"/>
    </row>
    <row r="9" spans="1:25" x14ac:dyDescent="0.2">
      <c r="A9" s="34" t="s">
        <v>23</v>
      </c>
      <c r="B9" s="32">
        <v>0</v>
      </c>
      <c r="E9" s="4"/>
      <c r="G9" s="10" t="s">
        <v>24</v>
      </c>
      <c r="H9" s="8">
        <f>(VinitX^2+VvertAtWall^2)^0.5</f>
        <v>11.667775886573505</v>
      </c>
      <c r="N9" s="14"/>
      <c r="O9" s="14"/>
      <c r="P9" s="14">
        <f>(Ttotal)*0.7</f>
        <v>0.90774912659574125</v>
      </c>
      <c r="Q9" s="15">
        <f t="shared" si="0"/>
        <v>9.5177219637573494</v>
      </c>
      <c r="R9" s="18">
        <f t="shared" si="1"/>
        <v>1.8474178013541955</v>
      </c>
      <c r="S9" s="14">
        <f>B7</f>
        <v>0.39</v>
      </c>
      <c r="T9" s="14">
        <f>B13</f>
        <v>0</v>
      </c>
      <c r="U9" s="14">
        <f>H3</f>
        <v>1</v>
      </c>
      <c r="V9" s="14">
        <f>B9</f>
        <v>0</v>
      </c>
      <c r="W9" s="14"/>
      <c r="X9" s="14"/>
      <c r="Y9" s="14"/>
    </row>
    <row r="10" spans="1:25" x14ac:dyDescent="0.2">
      <c r="A10" s="35"/>
      <c r="B10" s="33"/>
      <c r="D10" s="5" t="s">
        <v>25</v>
      </c>
      <c r="E10" s="6">
        <f>IF(MaxY&lt;LandingY,"Never",(-VinitY-((VinitY^2-4*(0.5*g)*(LaunchY-LandingY)))^0.5)/(2*0.5*g))</f>
        <v>1.2967844665653447</v>
      </c>
      <c r="N10" s="14"/>
      <c r="O10" s="14"/>
      <c r="P10" s="14">
        <f>(Ttotal)*0.8</f>
        <v>1.0374275732522757</v>
      </c>
      <c r="Q10" s="15">
        <f t="shared" si="0"/>
        <v>10.877396530008401</v>
      </c>
      <c r="R10" s="18">
        <f t="shared" si="1"/>
        <v>1.3964135629365302</v>
      </c>
      <c r="S10" s="14">
        <f>B7</f>
        <v>0.39</v>
      </c>
      <c r="T10" s="14">
        <f>B13</f>
        <v>0</v>
      </c>
      <c r="U10" s="14">
        <f>H3</f>
        <v>1</v>
      </c>
      <c r="V10" s="14">
        <f>B9</f>
        <v>0</v>
      </c>
      <c r="W10" s="14"/>
      <c r="X10" s="14"/>
      <c r="Y10" s="14"/>
    </row>
    <row r="11" spans="1:25" x14ac:dyDescent="0.2">
      <c r="A11" s="26" t="s">
        <v>26</v>
      </c>
      <c r="B11" s="24">
        <v>-9.8000000000000007</v>
      </c>
      <c r="D11" s="7" t="s">
        <v>27</v>
      </c>
      <c r="E11" s="6">
        <f>IF(MaxY&lt;LandingY,"",LaunchX+VinitX*Ttotal)</f>
        <v>13.596745662510502</v>
      </c>
      <c r="G11" s="47" t="s">
        <v>58</v>
      </c>
      <c r="N11" s="14"/>
      <c r="O11" s="14"/>
      <c r="P11" s="14">
        <f>(Ttotal)*0.9</f>
        <v>1.1671060199088104</v>
      </c>
      <c r="Q11" s="15">
        <f t="shared" si="0"/>
        <v>12.237071096259452</v>
      </c>
      <c r="R11" s="18">
        <f t="shared" si="1"/>
        <v>0.78060762915179804</v>
      </c>
      <c r="S11" s="14">
        <f>B7</f>
        <v>0.39</v>
      </c>
      <c r="T11" s="14">
        <f>B13</f>
        <v>0</v>
      </c>
      <c r="U11" s="14">
        <f>H3</f>
        <v>1</v>
      </c>
      <c r="V11" s="14">
        <f>B9</f>
        <v>0</v>
      </c>
      <c r="W11" s="14"/>
      <c r="X11" s="14"/>
      <c r="Y11" s="14"/>
    </row>
    <row r="12" spans="1:25" x14ac:dyDescent="0.2">
      <c r="A12" s="27"/>
      <c r="B12" s="25"/>
      <c r="D12" s="5" t="s">
        <v>28</v>
      </c>
      <c r="E12" s="6">
        <f>IF(MaxY&lt;LandingY,"(Lower the",VinitY+g*Ttotal)</f>
        <v>-6.6549877723403812</v>
      </c>
      <c r="G12" s="19" t="s">
        <v>29</v>
      </c>
      <c r="H12" s="44">
        <v>1</v>
      </c>
      <c r="N12" s="14"/>
      <c r="O12" s="14"/>
      <c r="P12" s="14">
        <f>(Ttotal)</f>
        <v>1.2967844665653447</v>
      </c>
      <c r="Q12" s="15">
        <f t="shared" si="0"/>
        <v>13.596745662510502</v>
      </c>
      <c r="R12" s="18">
        <f>IF(LaunchY+VinitY*P12+0.5*g*P12^2&lt;0,0,LaunchY+VinitY*P12+0.5*g*P12^2)</f>
        <v>0</v>
      </c>
      <c r="S12" s="14">
        <f>B7</f>
        <v>0.39</v>
      </c>
      <c r="T12" s="14">
        <f>B13</f>
        <v>0</v>
      </c>
      <c r="U12" s="14">
        <f>H3</f>
        <v>1</v>
      </c>
      <c r="V12" s="14">
        <f>B9</f>
        <v>0</v>
      </c>
      <c r="W12" s="14"/>
      <c r="X12" s="14"/>
      <c r="Y12" s="14"/>
    </row>
    <row r="13" spans="1:25" x14ac:dyDescent="0.2">
      <c r="A13" s="29" t="s">
        <v>30</v>
      </c>
      <c r="B13" s="28">
        <v>0</v>
      </c>
      <c r="D13" s="5" t="s">
        <v>31</v>
      </c>
      <c r="E13" s="6">
        <f>IF(MaxY&lt;LandingY,"landing plane)",(VinitX^2+E12^2)^0.5)</f>
        <v>12.41867339936114</v>
      </c>
      <c r="G13" s="19" t="s">
        <v>32</v>
      </c>
      <c r="H13" s="44">
        <v>1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x14ac:dyDescent="0.2">
      <c r="A14" s="27"/>
      <c r="B14" s="25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x14ac:dyDescent="0.2"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x14ac:dyDescent="0.2"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x14ac:dyDescent="0.2"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x14ac:dyDescent="0.2">
      <c r="A18" s="39"/>
      <c r="L18" s="14"/>
      <c r="N18" s="14"/>
      <c r="O18" s="14"/>
      <c r="P18" s="14"/>
      <c r="Q18" s="14" t="s">
        <v>54</v>
      </c>
      <c r="R18" s="14"/>
      <c r="S18" s="14"/>
      <c r="T18" s="14"/>
      <c r="U18" s="14"/>
      <c r="V18" s="14"/>
      <c r="W18" s="14"/>
      <c r="X18" s="14"/>
      <c r="Y18" s="14"/>
    </row>
    <row r="19" spans="1:25" x14ac:dyDescent="0.2">
      <c r="N19" s="14"/>
      <c r="O19" s="14"/>
      <c r="P19" s="14"/>
      <c r="Q19" s="19" t="s">
        <v>29</v>
      </c>
      <c r="R19" s="20">
        <v>0.9</v>
      </c>
      <c r="S19" s="14"/>
      <c r="T19" s="14"/>
      <c r="U19" s="14"/>
      <c r="V19" s="14"/>
      <c r="W19" s="14"/>
      <c r="X19" s="14"/>
      <c r="Y19" s="14"/>
    </row>
    <row r="20" spans="1:25" x14ac:dyDescent="0.2">
      <c r="N20" s="14"/>
      <c r="O20" s="14"/>
      <c r="P20" s="14"/>
      <c r="Q20" s="19" t="s">
        <v>32</v>
      </c>
      <c r="R20" s="14"/>
      <c r="S20" s="14"/>
      <c r="T20" s="14"/>
      <c r="U20" s="14"/>
      <c r="V20" s="14"/>
      <c r="W20" s="14"/>
      <c r="X20" s="14"/>
      <c r="Y20" s="14"/>
    </row>
    <row r="21" spans="1:25" x14ac:dyDescent="0.2"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x14ac:dyDescent="0.2">
      <c r="N22" s="14"/>
      <c r="O22" s="14"/>
      <c r="P22" s="14"/>
      <c r="Q22" s="14">
        <v>0</v>
      </c>
      <c r="R22" s="14">
        <v>0</v>
      </c>
      <c r="S22" s="14"/>
      <c r="T22" s="14"/>
      <c r="U22" s="14"/>
      <c r="V22" s="14"/>
      <c r="W22" s="14"/>
      <c r="X22" s="14"/>
      <c r="Y22" s="14"/>
    </row>
    <row r="23" spans="1:25" x14ac:dyDescent="0.2">
      <c r="M23" s="14"/>
      <c r="N23" s="14"/>
      <c r="O23" s="14"/>
      <c r="P23" s="14"/>
      <c r="Q23" s="14">
        <f>XaxisMin*R19</f>
        <v>0.9</v>
      </c>
      <c r="R23" s="14">
        <f>YaxisMin*R19</f>
        <v>0.9</v>
      </c>
      <c r="S23" s="14"/>
      <c r="T23" s="14"/>
      <c r="U23" s="14"/>
      <c r="V23" s="14"/>
      <c r="W23" s="14"/>
      <c r="X23" s="14"/>
      <c r="Y23" s="14"/>
    </row>
    <row r="24" spans="1:25" x14ac:dyDescent="0.2"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x14ac:dyDescent="0.2">
      <c r="M25" s="14"/>
      <c r="N25" s="14"/>
      <c r="O25" s="14"/>
      <c r="P25" s="14"/>
      <c r="Q25" s="21">
        <f>E11*0.5</f>
        <v>6.7983728312552509</v>
      </c>
      <c r="R25" s="22">
        <f>E11</f>
        <v>13.596745662510502</v>
      </c>
      <c r="S25" s="14" t="s">
        <v>36</v>
      </c>
      <c r="T25" s="14"/>
      <c r="U25" s="14"/>
      <c r="V25" s="14"/>
      <c r="W25" s="14"/>
      <c r="X25" s="14"/>
      <c r="Y25" s="14"/>
    </row>
    <row r="26" spans="1:25" ht="20.25" x14ac:dyDescent="0.3">
      <c r="M26" s="14"/>
      <c r="N26" s="23"/>
      <c r="O26" s="14"/>
      <c r="P26" s="14"/>
      <c r="Q26" s="14">
        <f>MaxY*0.5</f>
        <v>1.129817914540816</v>
      </c>
      <c r="R26" s="21">
        <f>MaxY</f>
        <v>2.2596358290816321</v>
      </c>
      <c r="S26" s="14" t="s">
        <v>38</v>
      </c>
      <c r="T26" s="14"/>
      <c r="U26" s="14"/>
      <c r="V26" s="14"/>
      <c r="W26" s="14"/>
      <c r="X26" s="14"/>
      <c r="Y26" s="14"/>
    </row>
    <row r="27" spans="1:25" x14ac:dyDescent="0.2"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20.25" x14ac:dyDescent="0.3">
      <c r="M28" s="14"/>
      <c r="N28" s="23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x14ac:dyDescent="0.2"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x14ac:dyDescent="0.2"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x14ac:dyDescent="0.2"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x14ac:dyDescent="0.2"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x14ac:dyDescent="0.2"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x14ac:dyDescent="0.2"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x14ac:dyDescent="0.2">
      <c r="A35" s="3" t="s">
        <v>40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x14ac:dyDescent="0.2"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42" spans="1:25" x14ac:dyDescent="0.2">
      <c r="E42" s="46"/>
    </row>
    <row r="43" spans="1:25" x14ac:dyDescent="0.2">
      <c r="E43" s="46"/>
    </row>
    <row r="44" spans="1:25" x14ac:dyDescent="0.2">
      <c r="A44" s="3" t="s">
        <v>49</v>
      </c>
    </row>
    <row r="45" spans="1:25" x14ac:dyDescent="0.2">
      <c r="A45" s="3" t="s">
        <v>50</v>
      </c>
    </row>
    <row r="46" spans="1:25" x14ac:dyDescent="0.2">
      <c r="A46" s="3" t="s">
        <v>51</v>
      </c>
    </row>
    <row r="47" spans="1:25" x14ac:dyDescent="0.2">
      <c r="A47" s="3" t="s">
        <v>52</v>
      </c>
    </row>
    <row r="48" spans="1:25" x14ac:dyDescent="0.2">
      <c r="A48" s="14" t="s">
        <v>53</v>
      </c>
    </row>
    <row r="49" spans="1:1" x14ac:dyDescent="0.2">
      <c r="A49" s="45" t="s">
        <v>40</v>
      </c>
    </row>
  </sheetData>
  <sheetProtection sheet="1" objects="1" scenarios="1"/>
  <mergeCells count="15">
    <mergeCell ref="B11:B12"/>
    <mergeCell ref="A11:A12"/>
    <mergeCell ref="A13:A14"/>
    <mergeCell ref="B13:B14"/>
    <mergeCell ref="A5:A6"/>
    <mergeCell ref="B5:B6"/>
    <mergeCell ref="A7:A8"/>
    <mergeCell ref="B7:B8"/>
    <mergeCell ref="A9:A10"/>
    <mergeCell ref="B9:B10"/>
    <mergeCell ref="A1:E1"/>
    <mergeCell ref="A2:B2"/>
    <mergeCell ref="D2:E2"/>
    <mergeCell ref="A3:A4"/>
    <mergeCell ref="B3:B4"/>
  </mergeCells>
  <phoneticPr fontId="0" type="noConversion"/>
  <conditionalFormatting sqref="F2:F14">
    <cfRule type="expression" dxfId="9" priority="12">
      <formula>$M$5</formula>
    </cfRule>
  </conditionalFormatting>
  <conditionalFormatting sqref="D14:E15">
    <cfRule type="expression" dxfId="8" priority="11">
      <formula>$M$5</formula>
    </cfRule>
  </conditionalFormatting>
  <conditionalFormatting sqref="I1:I13">
    <cfRule type="expression" dxfId="7" priority="10">
      <formula>$M$5</formula>
    </cfRule>
  </conditionalFormatting>
  <conditionalFormatting sqref="G11:H11 G12:G14 H14:I14">
    <cfRule type="expression" dxfId="6" priority="9">
      <formula>$M$5</formula>
    </cfRule>
  </conditionalFormatting>
  <conditionalFormatting sqref="F1:H1">
    <cfRule type="expression" dxfId="4" priority="7">
      <formula>$M$5</formula>
    </cfRule>
  </conditionalFormatting>
  <conditionalFormatting sqref="C3:C15">
    <cfRule type="expression" dxfId="3" priority="6">
      <formula>$M$5</formula>
    </cfRule>
  </conditionalFormatting>
  <conditionalFormatting sqref="A15:B15">
    <cfRule type="expression" dxfId="2" priority="5">
      <formula>$M$5</formula>
    </cfRule>
  </conditionalFormatting>
  <conditionalFormatting sqref="Q19:Q20">
    <cfRule type="expression" dxfId="1" priority="2">
      <formula>$M$5</formula>
    </cfRule>
  </conditionalFormatting>
  <conditionalFormatting sqref="H12">
    <cfRule type="cellIs" dxfId="0" priority="1" operator="between">
      <formula>$Q$25</formula>
      <formula>$R$25</formula>
    </cfRule>
  </conditionalFormatting>
  <pageMargins left="0.25" right="0.25" top="0.5" bottom="0.5" header="0.5" footer="0.5"/>
  <pageSetup orientation="portrait" horizontalDpi="1200" verticalDpi="1200" r:id="rId1"/>
  <headerFooter alignWithMargins="0"/>
  <drawing r:id="rId2"/>
  <webPublishItems count="1">
    <webPublishItem id="2661" divId="projectile1_2661" sourceType="range" sourceRef="A1:E33" destinationFile="D:\619 web site\tools\projectile_motion\projectile_motion_inter.htm" title="Projectile Motion Illustrator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2"/>
  <sheetViews>
    <sheetView workbookViewId="0">
      <selection activeCell="B12" sqref="B12"/>
    </sheetView>
  </sheetViews>
  <sheetFormatPr defaultColWidth="23.7109375" defaultRowHeight="34.5" x14ac:dyDescent="0.45"/>
  <cols>
    <col min="1" max="16384" width="23.7109375" style="11"/>
  </cols>
  <sheetData>
    <row r="1" spans="1:3" x14ac:dyDescent="0.45">
      <c r="A1" s="11" t="s">
        <v>41</v>
      </c>
    </row>
    <row r="3" spans="1:3" x14ac:dyDescent="0.45">
      <c r="A3" s="11" t="s">
        <v>42</v>
      </c>
    </row>
    <row r="4" spans="1:3" x14ac:dyDescent="0.45">
      <c r="A4" s="11" t="s">
        <v>33</v>
      </c>
      <c r="B4" s="11">
        <v>3</v>
      </c>
    </row>
    <row r="5" spans="1:3" x14ac:dyDescent="0.45">
      <c r="A5" s="11" t="s">
        <v>43</v>
      </c>
      <c r="B5" s="11">
        <v>10.5</v>
      </c>
    </row>
    <row r="7" spans="1:3" x14ac:dyDescent="0.45">
      <c r="A7" s="11" t="s">
        <v>44</v>
      </c>
      <c r="B7" s="12">
        <f>B4/2</f>
        <v>1.5</v>
      </c>
      <c r="C7" s="11" t="s">
        <v>34</v>
      </c>
    </row>
    <row r="8" spans="1:3" x14ac:dyDescent="0.45">
      <c r="A8" s="11" t="s">
        <v>45</v>
      </c>
      <c r="B8" s="12">
        <f>B5/B4</f>
        <v>3.5</v>
      </c>
      <c r="C8" s="11" t="s">
        <v>37</v>
      </c>
    </row>
    <row r="9" spans="1:3" x14ac:dyDescent="0.45">
      <c r="A9" s="11" t="s">
        <v>46</v>
      </c>
      <c r="B9" s="12">
        <f>B7*10</f>
        <v>15</v>
      </c>
      <c r="C9" s="11" t="s">
        <v>37</v>
      </c>
    </row>
    <row r="10" spans="1:3" x14ac:dyDescent="0.45">
      <c r="A10" s="11" t="s">
        <v>47</v>
      </c>
      <c r="B10" s="12">
        <f>SQRT(B9^2+B8^2)</f>
        <v>15.402921800749363</v>
      </c>
      <c r="C10" s="11" t="s">
        <v>37</v>
      </c>
    </row>
    <row r="11" spans="1:3" x14ac:dyDescent="0.45">
      <c r="A11" s="11" t="s">
        <v>39</v>
      </c>
      <c r="B11" s="12">
        <f>DEGREES(ASIN(B9/B10))</f>
        <v>76.865977693603668</v>
      </c>
    </row>
    <row r="12" spans="1:3" x14ac:dyDescent="0.45">
      <c r="A12" s="11" t="s">
        <v>48</v>
      </c>
      <c r="B12" s="12">
        <f>0.5*10*B7^2</f>
        <v>11.25</v>
      </c>
      <c r="C12" s="11" t="s">
        <v>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21" baseType="lpstr">
      <vt:lpstr>main</vt:lpstr>
      <vt:lpstr>given_t_and_x</vt:lpstr>
      <vt:lpstr>angle</vt:lpstr>
      <vt:lpstr>g</vt:lpstr>
      <vt:lpstr>LandingY</vt:lpstr>
      <vt:lpstr>LaunchX</vt:lpstr>
      <vt:lpstr>LaunchY</vt:lpstr>
      <vt:lpstr>MaxY</vt:lpstr>
      <vt:lpstr>NumSigFig</vt:lpstr>
      <vt:lpstr>main!Print_Area</vt:lpstr>
      <vt:lpstr>ProjYatWall</vt:lpstr>
      <vt:lpstr>TimeToWall</vt:lpstr>
      <vt:lpstr>Ttotal</vt:lpstr>
      <vt:lpstr>vinitial</vt:lpstr>
      <vt:lpstr>VinitX</vt:lpstr>
      <vt:lpstr>VinitY</vt:lpstr>
      <vt:lpstr>VvertAtWall</vt:lpstr>
      <vt:lpstr>WallX</vt:lpstr>
      <vt:lpstr>WallY</vt:lpstr>
      <vt:lpstr>XaxisMin</vt:lpstr>
      <vt:lpstr>YaxisMin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Canyon High Staff</dc:creator>
  <cp:keywords/>
  <dc:description/>
  <cp:lastModifiedBy>John Rice</cp:lastModifiedBy>
  <cp:revision/>
  <dcterms:created xsi:type="dcterms:W3CDTF">2004-09-30T20:17:56Z</dcterms:created>
  <dcterms:modified xsi:type="dcterms:W3CDTF">2017-09-09T22:50:35Z</dcterms:modified>
</cp:coreProperties>
</file>